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<sst xmlns="http://schemas.openxmlformats.org/spreadsheetml/2006/main" count="816" uniqueCount="226">
  <si>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</si>
  <si>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</si>
  <si>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</si>
  <si>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</si>
  <si>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</si>
  <si>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</si>
  <si>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</si>
  <si>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</si>
  <si>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</si>
  <si>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</si>
  <si>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</si>
  <si>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</si>
  <si>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</si>
  <si>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</si>
  <si>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</si>
  <si>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</si>
  <si>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</si>
  <si>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</si>
  <si>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</si>
  <si>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</si>
  <si>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</si>
  <si>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</si>
  <si>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</si>
  <si>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</si>
  <si>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</si>
  <si>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</si>
  <si>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</si>
  <si>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</si>
  <si>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</si>
  <si>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</si>
  <si>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</si>
  <si>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</si>
  <si>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</si>
  <si>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</si>
  <si>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</si>
  <si>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</si>
  <si>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</si>
  <si>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</si>
  <si>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</si>
  <si>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</si>
  <si>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</si>
  <si>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</si>
  <si>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</si>
  <si>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</si>
  <si>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</si>
  <si>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</si>
  <si>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</si>
  <si>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</si>
  <si>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</si>
  <si>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</si>
  <si>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</si>
  <si>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</si>
  <si>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</si>
  <si>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</si>
  <si>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</si>
  <si>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</si>
  <si>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</si>
  <si>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</si>
  <si>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</si>
  <si>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</si>
  <si>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</si>
  <si>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</si>
  <si>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</si>
  <si>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</si>
  <si>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</si>
  <si>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</si>
  <si>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</si>
  <si>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</si>
  <si>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</si>
  <si>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</si>
  <si>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</si>
  <si>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</si>
  <si>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</si>
  <si>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</si>
  <si>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</si>
  <si>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</si>
  <si>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</si>
  <si>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</si>
  <si>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</si>
  <si>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</si>
  <si>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</si>
  <si>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</si>
  <si>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</si>
  <si>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</si>
  <si>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</si>
  <si>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</si>
  <si>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</si>
  <si>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</si>
  <si>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</si>
  <si>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</si>
  <si>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</si>
  <si>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</si>
  <si>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</si>
  <si>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</si>
  <si>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</si>
  <si>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</si>
  <si>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</si>
  <si>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</si>
  <si>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</si>
  <si>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</si>
  <si>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</si>
  <si>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</si>
  <si>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</si>
  <si>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</si>
  <si>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</si>
  <si>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</si>
  <si>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</si>
  <si>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</si>
  <si>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</si>
  <si>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</si>
  <si>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</si>
  <si>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</si>
  <si>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</si>
  <si>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</si>
  <si>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</si>
  <si>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</si>
  <si>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</si>
  <si>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</si>
  <si>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</si>
  <si>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</si>
  <si>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</si>
  <si>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</si>
  <si>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</si>
  <si>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</si>
  <si>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</si>
  <si>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</si>
  <si>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</si>
  <si>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</si>
  <si>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</si>
  <si>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</si>
  <si>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</si>
  <si>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</si>
  <si>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</si>
  <si>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</si>
  <si>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</si>
  <si>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</si>
  <si>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</si>
  <si>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</si>
  <si>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</si>
  <si>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</si>
  <si>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</si>
  <si>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</si>
  <si>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</si>
  <si>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</si>
  <si>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</si>
  <si>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</si>
  <si>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</si>
  <si>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</si>
  <si>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</si>
  <si>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</si>
  <si>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</si>
  <si>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</si>
  <si>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</si>
  <si>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</si>
  <si>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</si>
  <si>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</si>
  <si>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</si>
  <si>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</si>
  <si>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</si>
  <si>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</si>
  <si>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</si>
  <si>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</si>
  <si>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</si>
  <si>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</si>
  <si>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</si>
  <si>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</si>
  <si>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</si>
  <si>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</si>
  <si>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</si>
  <si>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</si>
  <si>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</si>
  <si>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</si>
  <si>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</si>
  <si>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</si>
  <si>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</si>
  <si>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</si>
  <si>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</si>
  <si>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</si>
  <si>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</si>
  <si>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</si>
  <si>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</si>
  <si>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</si>
  <si>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</si>
  <si>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</si>
  <si>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</si>
  <si>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</si>
  <si>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</si>
  <si>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</si>
  <si>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</si>
  <si>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</si>
  <si>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</si>
  <si>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</si>
  <si>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</si>
  <si>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</si>
  <si>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</si>
  <si>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</si>
  <si>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</si>
  <si>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</si>
  <si>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</si>
  <si>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</si>
  <si>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</si>
  <si>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</si>
  <si>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</si>
  <si>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</si>
  <si>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</si>
  <si>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</si>
  <si>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</si>
  <si>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</si>
  <si>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</si>
  <si>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</si>
  <si>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</si>
  <si>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</si>
  <si>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</si>
  <si>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</si>
  <si>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</si>
  <si>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</si>
  <si>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</si>
  <si>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</si>
  <si>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</si>
  <si>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</si>
  <si>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</si>
  <si>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</si>
  <si>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</si>
  <si>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</si>
  <si>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</si>
  <si>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14.04.14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</si>
</sst>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7">
        <row r="6">
          <cell r="G6">
            <v>118000641.16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104175419.19999999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38" sqref="M13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8" t="s">
        <v>224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194" t="s">
        <v>208</v>
      </c>
      <c r="E3" s="194"/>
      <c r="F3" s="195" t="s">
        <v>107</v>
      </c>
      <c r="G3" s="196"/>
      <c r="H3" s="196"/>
      <c r="I3" s="196"/>
      <c r="J3" s="196"/>
      <c r="K3" s="196"/>
      <c r="L3" s="197"/>
      <c r="M3" s="198" t="s">
        <v>210</v>
      </c>
      <c r="N3" s="200" t="s">
        <v>221</v>
      </c>
      <c r="O3" s="200"/>
      <c r="P3" s="200"/>
      <c r="Q3" s="200"/>
      <c r="R3" s="200"/>
    </row>
    <row r="4" spans="1:18" ht="22.5" customHeight="1">
      <c r="A4" s="190"/>
      <c r="B4" s="192"/>
      <c r="C4" s="193"/>
      <c r="D4" s="194"/>
      <c r="E4" s="194"/>
      <c r="F4" s="201" t="s">
        <v>116</v>
      </c>
      <c r="G4" s="182" t="s">
        <v>217</v>
      </c>
      <c r="H4" s="184" t="s">
        <v>218</v>
      </c>
      <c r="I4" s="180" t="s">
        <v>188</v>
      </c>
      <c r="J4" s="186" t="s">
        <v>189</v>
      </c>
      <c r="K4" s="179" t="s">
        <v>219</v>
      </c>
      <c r="L4" s="158"/>
      <c r="M4" s="199"/>
      <c r="N4" s="162" t="s">
        <v>225</v>
      </c>
      <c r="O4" s="180" t="s">
        <v>136</v>
      </c>
      <c r="P4" s="180" t="s">
        <v>135</v>
      </c>
      <c r="Q4" s="179" t="s">
        <v>222</v>
      </c>
      <c r="R4" s="158"/>
    </row>
    <row r="5" spans="1:18" ht="82.5" customHeight="1">
      <c r="A5" s="191"/>
      <c r="B5" s="192"/>
      <c r="C5" s="193"/>
      <c r="D5" s="150" t="s">
        <v>209</v>
      </c>
      <c r="E5" s="164" t="s">
        <v>216</v>
      </c>
      <c r="F5" s="202"/>
      <c r="G5" s="183"/>
      <c r="H5" s="185"/>
      <c r="I5" s="181"/>
      <c r="J5" s="187"/>
      <c r="K5" s="159"/>
      <c r="L5" s="160"/>
      <c r="M5" s="151" t="s">
        <v>220</v>
      </c>
      <c r="N5" s="152"/>
      <c r="O5" s="181"/>
      <c r="P5" s="181"/>
      <c r="Q5" s="159"/>
      <c r="R5" s="16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63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157260.99000000002</v>
      </c>
      <c r="F8" s="22">
        <f>F10+F19+F33+F56+F68+F30</f>
        <v>117725.81</v>
      </c>
      <c r="G8" s="22">
        <f aca="true" t="shared" si="0" ref="G8:G30">F8-E8</f>
        <v>-39535.18000000002</v>
      </c>
      <c r="H8" s="51">
        <f>F8/E8*100</f>
        <v>74.86014808885534</v>
      </c>
      <c r="I8" s="36">
        <f aca="true" t="shared" si="1" ref="I8:I17">F8-D8</f>
        <v>-401603.49</v>
      </c>
      <c r="J8" s="36">
        <f aca="true" t="shared" si="2" ref="J8:J14">F8/D8*100</f>
        <v>22.668817261032643</v>
      </c>
      <c r="K8" s="36">
        <f>F8-151112.7</f>
        <v>-33386.890000000014</v>
      </c>
      <c r="L8" s="136">
        <f>F8/151112.7</f>
        <v>0.7790596687108363</v>
      </c>
      <c r="M8" s="22">
        <f>M10+M19+M33+M56+M68+M30</f>
        <v>42023.09</v>
      </c>
      <c r="N8" s="22">
        <f>N10+N19+N33+N56+N68+N30</f>
        <v>10116.799999999996</v>
      </c>
      <c r="O8" s="36">
        <f aca="true" t="shared" si="3" ref="O8:O71">N8-M8</f>
        <v>-31906.29</v>
      </c>
      <c r="P8" s="36">
        <f>F8/M8*100</f>
        <v>280.1455342765133</v>
      </c>
      <c r="Q8" s="36">
        <f>N8-40194.7</f>
        <v>-30077.9</v>
      </c>
      <c r="R8" s="134">
        <f>N8/40194.7</f>
        <v>0.2516948751949883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94850.7</v>
      </c>
      <c r="G9" s="22">
        <f t="shared" si="0"/>
        <v>94850.7</v>
      </c>
      <c r="H9" s="20"/>
      <c r="I9" s="56">
        <f t="shared" si="1"/>
        <v>-323515.5</v>
      </c>
      <c r="J9" s="56">
        <f t="shared" si="2"/>
        <v>22.671692885323907</v>
      </c>
      <c r="K9" s="56"/>
      <c r="L9" s="135"/>
      <c r="M9" s="20">
        <f>M10+M17</f>
        <v>35046.5</v>
      </c>
      <c r="N9" s="20">
        <f>N10+N17</f>
        <v>8804.089999999997</v>
      </c>
      <c r="O9" s="36">
        <f t="shared" si="3"/>
        <v>-26242.410000000003</v>
      </c>
      <c r="P9" s="56">
        <f>F9/M9*100</f>
        <v>270.6424321972237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128503.1</v>
      </c>
      <c r="F10" s="40">
        <v>94850.7</v>
      </c>
      <c r="G10" s="49">
        <f t="shared" si="0"/>
        <v>-33652.40000000001</v>
      </c>
      <c r="H10" s="40">
        <f aca="true" t="shared" si="4" ref="H10:H17">F10/E10*100</f>
        <v>73.81199364062033</v>
      </c>
      <c r="I10" s="56">
        <f t="shared" si="1"/>
        <v>-323515.5</v>
      </c>
      <c r="J10" s="56">
        <f t="shared" si="2"/>
        <v>22.671692885323907</v>
      </c>
      <c r="K10" s="141">
        <f>F10-117271.4</f>
        <v>-22420.699999999997</v>
      </c>
      <c r="L10" s="142">
        <f>F10/117271.4</f>
        <v>0.8088135726187289</v>
      </c>
      <c r="M10" s="40">
        <f>E10-березень!E10</f>
        <v>35046.5</v>
      </c>
      <c r="N10" s="40">
        <f>F10-березень!F10</f>
        <v>8804.089999999997</v>
      </c>
      <c r="O10" s="53">
        <f t="shared" si="3"/>
        <v>-26242.410000000003</v>
      </c>
      <c r="P10" s="56">
        <f aca="true" t="shared" si="5" ref="P10:P17">N10/M10*100</f>
        <v>25.121167591628257</v>
      </c>
      <c r="Q10" s="141">
        <f>N10-32056.3</f>
        <v>-23252.210000000003</v>
      </c>
      <c r="R10" s="142">
        <f>N10/32056.3</f>
        <v>0.27464460963991466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1239.6</v>
      </c>
      <c r="F19" s="40">
        <v>817.87</v>
      </c>
      <c r="G19" s="49">
        <f t="shared" si="0"/>
        <v>-421.7299999999999</v>
      </c>
      <c r="H19" s="40">
        <f aca="true" t="shared" si="6" ref="H19:H29">F19/E19*100</f>
        <v>65.97854146498872</v>
      </c>
      <c r="I19" s="56">
        <f aca="true" t="shared" si="7" ref="I19:I29">F19-D19</f>
        <v>-5182.13</v>
      </c>
      <c r="J19" s="56">
        <f aca="true" t="shared" si="8" ref="J19:J29">F19/D19*100</f>
        <v>13.631166666666667</v>
      </c>
      <c r="K19" s="56">
        <f>F19-4735.9</f>
        <v>-3918.0299999999997</v>
      </c>
      <c r="L19" s="135">
        <f>F19/4735.9</f>
        <v>0.17269579171857516</v>
      </c>
      <c r="M19" s="40">
        <f>E19-березень!E19</f>
        <v>11</v>
      </c>
      <c r="N19" s="40">
        <f>F19-березень!F19</f>
        <v>2.1900000000000546</v>
      </c>
      <c r="O19" s="53">
        <f t="shared" si="3"/>
        <v>-8.809999999999945</v>
      </c>
      <c r="P19" s="56">
        <f aca="true" t="shared" si="9" ref="P19:P29">N19/M19*100</f>
        <v>19.909090909091407</v>
      </c>
      <c r="Q19" s="56">
        <f>N19-450.5</f>
        <v>-448.30999999999995</v>
      </c>
      <c r="R19" s="135">
        <f>N19/450.5</f>
        <v>0.0048612652608214305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739.6</v>
      </c>
      <c r="F29" s="146">
        <v>751.16</v>
      </c>
      <c r="G29" s="49">
        <f t="shared" si="0"/>
        <v>11.559999999999945</v>
      </c>
      <c r="H29" s="40">
        <f t="shared" si="6"/>
        <v>101.56300703082746</v>
      </c>
      <c r="I29" s="56">
        <f t="shared" si="7"/>
        <v>-2248.84</v>
      </c>
      <c r="J29" s="56">
        <f t="shared" si="8"/>
        <v>25.038666666666664</v>
      </c>
      <c r="K29" s="148">
        <f>F29-1169.5</f>
        <v>-418.34000000000003</v>
      </c>
      <c r="L29" s="149">
        <f>F29/1169.5</f>
        <v>0.6422915775972637</v>
      </c>
      <c r="M29" s="40">
        <f>E29-березень!E29</f>
        <v>11</v>
      </c>
      <c r="N29" s="40">
        <f>F29-березень!F29</f>
        <v>0</v>
      </c>
      <c r="O29" s="148">
        <f t="shared" si="3"/>
        <v>-11</v>
      </c>
      <c r="P29" s="145">
        <f t="shared" si="9"/>
        <v>0</v>
      </c>
      <c r="Q29" s="148">
        <f>N29-438.2</f>
        <v>-438.2</v>
      </c>
      <c r="R29" s="149">
        <f>N29/438.2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v>25270.59</v>
      </c>
      <c r="F33" s="40">
        <v>19958.3</v>
      </c>
      <c r="G33" s="49">
        <f aca="true" t="shared" si="14" ref="G33:G72">F33-E33</f>
        <v>-5312.290000000001</v>
      </c>
      <c r="H33" s="40">
        <f aca="true" t="shared" si="15" ref="H33:H67">F33/E33*100</f>
        <v>78.97836971752538</v>
      </c>
      <c r="I33" s="56">
        <f>F33-D33</f>
        <v>-68107.7</v>
      </c>
      <c r="J33" s="56">
        <f aca="true" t="shared" si="16" ref="J33:J72">F33/D33*100</f>
        <v>22.66288919673881</v>
      </c>
      <c r="K33" s="141">
        <f>F33-26928.2</f>
        <v>-6969.9000000000015</v>
      </c>
      <c r="L33" s="142">
        <f>F33/26928.2</f>
        <v>0.7411672521743005</v>
      </c>
      <c r="M33" s="40">
        <f>E33-березень!E33</f>
        <v>6412.09</v>
      </c>
      <c r="N33" s="40">
        <f>F33-березень!F33</f>
        <v>869.0299999999988</v>
      </c>
      <c r="O33" s="53">
        <f t="shared" si="3"/>
        <v>-5543.060000000001</v>
      </c>
      <c r="P33" s="56">
        <f aca="true" t="shared" si="17" ref="P33:P67">N33/M33*100</f>
        <v>13.552991302367854</v>
      </c>
      <c r="Q33" s="141">
        <f>N33-7165.5</f>
        <v>-6296.470000000001</v>
      </c>
      <c r="R33" s="142">
        <f>N33/7165.5</f>
        <v>0.12127974321401142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v>18810.29</v>
      </c>
      <c r="F55" s="146">
        <v>14992.2</v>
      </c>
      <c r="G55" s="144">
        <f t="shared" si="14"/>
        <v>-3818.09</v>
      </c>
      <c r="H55" s="146">
        <f t="shared" si="15"/>
        <v>79.70212048830719</v>
      </c>
      <c r="I55" s="145">
        <f t="shared" si="18"/>
        <v>-51273.8</v>
      </c>
      <c r="J55" s="145">
        <f t="shared" si="16"/>
        <v>22.624271873962513</v>
      </c>
      <c r="K55" s="148">
        <f>F55-19428.9</f>
        <v>-4436.700000000001</v>
      </c>
      <c r="L55" s="149">
        <f>F55/19428.9</f>
        <v>0.7716443030742862</v>
      </c>
      <c r="M55" s="40">
        <f>E55-березень!E55</f>
        <v>4792.090000000002</v>
      </c>
      <c r="N55" s="40">
        <f>F55-березень!F55</f>
        <v>795.1900000000005</v>
      </c>
      <c r="O55" s="148">
        <f t="shared" si="3"/>
        <v>-3996.9000000000015</v>
      </c>
      <c r="P55" s="148">
        <f t="shared" si="17"/>
        <v>16.593803538748233</v>
      </c>
      <c r="Q55" s="166">
        <f>N55-4813.7</f>
        <v>-4018.5099999999993</v>
      </c>
      <c r="R55" s="167">
        <f>N55/4813.7</f>
        <v>0.16519309470885193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2095.2</v>
      </c>
      <c r="G56" s="49">
        <f t="shared" si="14"/>
        <v>-142.9000000000001</v>
      </c>
      <c r="H56" s="40">
        <f t="shared" si="15"/>
        <v>93.61511996782986</v>
      </c>
      <c r="I56" s="56">
        <f t="shared" si="18"/>
        <v>-4764.8</v>
      </c>
      <c r="J56" s="56">
        <f t="shared" si="16"/>
        <v>30.54227405247813</v>
      </c>
      <c r="K56" s="56">
        <f>F56-2151.9</f>
        <v>-56.70000000000027</v>
      </c>
      <c r="L56" s="135">
        <f>F56/2151.9</f>
        <v>0.9736511919698869</v>
      </c>
      <c r="M56" s="40">
        <f>E56-березень!E56</f>
        <v>553</v>
      </c>
      <c r="N56" s="40">
        <f>F56-березень!F56</f>
        <v>441.4899999999998</v>
      </c>
      <c r="O56" s="53">
        <f t="shared" si="3"/>
        <v>-111.51000000000022</v>
      </c>
      <c r="P56" s="56">
        <f t="shared" si="17"/>
        <v>79.83544303797464</v>
      </c>
      <c r="Q56" s="56">
        <f>N56-522.5</f>
        <v>-81.01000000000022</v>
      </c>
      <c r="R56" s="135">
        <f>N56/522.5</f>
        <v>0.8449569377990427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3907.5</v>
      </c>
      <c r="F74" s="22">
        <f>F77+F86+F88+F89+F94+F95+F96+F97+F99+F103+F87</f>
        <v>4059.23</v>
      </c>
      <c r="G74" s="50">
        <f aca="true" t="shared" si="24" ref="G74:G92">F74-E74</f>
        <v>151.73000000000002</v>
      </c>
      <c r="H74" s="51">
        <f aca="true" t="shared" si="25" ref="H74:H87">F74/E74*100</f>
        <v>103.88304542546385</v>
      </c>
      <c r="I74" s="36">
        <f aca="true" t="shared" si="26" ref="I74:I92">F74-D74</f>
        <v>-13606.369999999999</v>
      </c>
      <c r="J74" s="36">
        <f aca="true" t="shared" si="27" ref="J74:J92">F74/D74*100</f>
        <v>22.97816094556653</v>
      </c>
      <c r="K74" s="36">
        <f>F74-5374.8</f>
        <v>-1315.5700000000002</v>
      </c>
      <c r="L74" s="136">
        <f>F74/5374.8</f>
        <v>0.7552336831137902</v>
      </c>
      <c r="M74" s="22">
        <f>M77+M86+M88+M89+M94+M95+M96+M97+M99+M87+M103</f>
        <v>1075.5</v>
      </c>
      <c r="N74" s="22">
        <f>N77+N86+N88+N89+N94+N95+N96+N97+N99+N32+N103+N87</f>
        <v>939.68</v>
      </c>
      <c r="O74" s="55">
        <f aca="true" t="shared" si="28" ref="O74:O92">N74-M74</f>
        <v>-135.82000000000005</v>
      </c>
      <c r="P74" s="36">
        <f>N74/M74*100</f>
        <v>87.3714551371455</v>
      </c>
      <c r="Q74" s="36">
        <f>N74-1526</f>
        <v>-586.32</v>
      </c>
      <c r="R74" s="136">
        <f>N74/1526</f>
        <v>0.6157798165137615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-1678.13</v>
      </c>
      <c r="J77" s="56">
        <f t="shared" si="27"/>
        <v>1.286470588235294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E87-березень!E87</f>
        <v>0</v>
      </c>
      <c r="N87" s="40">
        <f>F87-березень!F87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3.4</v>
      </c>
      <c r="G88" s="49">
        <f t="shared" si="24"/>
        <v>2.4</v>
      </c>
      <c r="H88" s="40">
        <f>F88/E88*100</f>
        <v>340</v>
      </c>
      <c r="I88" s="56">
        <f t="shared" si="26"/>
        <v>-1.6999999999999997</v>
      </c>
      <c r="J88" s="56">
        <f t="shared" si="27"/>
        <v>66.66666666666667</v>
      </c>
      <c r="K88" s="56">
        <f>F88-0.1</f>
        <v>3.3</v>
      </c>
      <c r="L88" s="135"/>
      <c r="M88" s="40">
        <f>E88-березень!E88</f>
        <v>0.5</v>
      </c>
      <c r="N88" s="40">
        <f>F88-березень!F88</f>
        <v>0</v>
      </c>
      <c r="O88" s="53">
        <f t="shared" si="28"/>
        <v>-0.5</v>
      </c>
      <c r="P88" s="56">
        <f>N88/M88*100</f>
        <v>0</v>
      </c>
      <c r="Q88" s="56">
        <f>N88-0.1</f>
        <v>-0.1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28.4</v>
      </c>
      <c r="G89" s="49">
        <f t="shared" si="24"/>
        <v>-25.6</v>
      </c>
      <c r="H89" s="40">
        <f>F89/E89*100</f>
        <v>52.59259259259259</v>
      </c>
      <c r="I89" s="56">
        <f t="shared" si="26"/>
        <v>-146.6</v>
      </c>
      <c r="J89" s="56">
        <f t="shared" si="27"/>
        <v>16.228571428571428</v>
      </c>
      <c r="K89" s="56">
        <f>F89-66.3</f>
        <v>-37.9</v>
      </c>
      <c r="L89" s="135">
        <f>F89/66.3</f>
        <v>0.42835595776772245</v>
      </c>
      <c r="M89" s="40">
        <f>E89-березень!E89</f>
        <v>15</v>
      </c>
      <c r="N89" s="40">
        <f>F89-березень!F89</f>
        <v>1.629999999999999</v>
      </c>
      <c r="O89" s="53">
        <f t="shared" si="28"/>
        <v>-13.370000000000001</v>
      </c>
      <c r="P89" s="56">
        <f>N89/M89*100</f>
        <v>10.86666666666666</v>
      </c>
      <c r="Q89" s="56">
        <f>N89-18.8</f>
        <v>-17.17</v>
      </c>
      <c r="R89" s="135">
        <f>N89/18.8</f>
        <v>0.08670212765957441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2191.5</v>
      </c>
      <c r="F95" s="57">
        <v>2386.61</v>
      </c>
      <c r="G95" s="49">
        <f t="shared" si="31"/>
        <v>195.11000000000013</v>
      </c>
      <c r="H95" s="40">
        <f>F95/E95*100</f>
        <v>108.90303445128909</v>
      </c>
      <c r="I95" s="56">
        <f t="shared" si="32"/>
        <v>-3913.39</v>
      </c>
      <c r="J95" s="56">
        <f>F95/D95*100</f>
        <v>37.88269841269841</v>
      </c>
      <c r="K95" s="56">
        <f>F95-2269.2</f>
        <v>117.41000000000031</v>
      </c>
      <c r="L95" s="135">
        <f>F95/2269.2</f>
        <v>1.051740701568835</v>
      </c>
      <c r="M95" s="40">
        <f>E95-березень!E95</f>
        <v>515</v>
      </c>
      <c r="N95" s="40">
        <f>F95-березень!F95</f>
        <v>659.21</v>
      </c>
      <c r="O95" s="53">
        <f t="shared" si="33"/>
        <v>144.21000000000004</v>
      </c>
      <c r="P95" s="56">
        <f>N95/M95*100</f>
        <v>128.00194174757283</v>
      </c>
      <c r="Q95" s="56">
        <f>N95-790.5</f>
        <v>-131.28999999999996</v>
      </c>
      <c r="R95" s="135">
        <f>N95/790.5</f>
        <v>0.8339152435167616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224.8</v>
      </c>
      <c r="G96" s="49">
        <f t="shared" si="31"/>
        <v>-69.69999999999999</v>
      </c>
      <c r="H96" s="40">
        <f>F96/E96*100</f>
        <v>76.33276740237692</v>
      </c>
      <c r="I96" s="56">
        <f t="shared" si="32"/>
        <v>-975.2</v>
      </c>
      <c r="J96" s="56">
        <f>F96/D96*100</f>
        <v>18.733333333333334</v>
      </c>
      <c r="K96" s="56">
        <f>F96-305.5</f>
        <v>-80.69999999999999</v>
      </c>
      <c r="L96" s="135">
        <f>F96/305.5</f>
        <v>0.7358428805237316</v>
      </c>
      <c r="M96" s="40">
        <f>E96-березень!E96</f>
        <v>70</v>
      </c>
      <c r="N96" s="40">
        <f>F96-березень!F96</f>
        <v>25.930000000000007</v>
      </c>
      <c r="O96" s="53">
        <f t="shared" si="33"/>
        <v>-44.06999999999999</v>
      </c>
      <c r="P96" s="56">
        <f>N96/M96*100</f>
        <v>37.04285714285716</v>
      </c>
      <c r="Q96" s="56">
        <f>N96-144</f>
        <v>-118.07</v>
      </c>
      <c r="R96" s="135">
        <f>N96/144</f>
        <v>0.1800694444444445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1047</v>
      </c>
      <c r="F99" s="57">
        <v>1168.8</v>
      </c>
      <c r="G99" s="49">
        <f t="shared" si="31"/>
        <v>121.79999999999995</v>
      </c>
      <c r="H99" s="40">
        <f>F99/E99*100</f>
        <v>111.63323782234957</v>
      </c>
      <c r="I99" s="56">
        <f t="shared" si="32"/>
        <v>-2711.2</v>
      </c>
      <c r="J99" s="56">
        <f>F99/D99*100</f>
        <v>30.12371134020618</v>
      </c>
      <c r="K99" s="56">
        <f>F99-994.9</f>
        <v>173.89999999999998</v>
      </c>
      <c r="L99" s="135">
        <f>F99/994.9</f>
        <v>1.1747914363252587</v>
      </c>
      <c r="M99" s="40">
        <f>E99-березень!E99</f>
        <v>270</v>
      </c>
      <c r="N99" s="40">
        <f>F99-березень!F99</f>
        <v>254.94999999999993</v>
      </c>
      <c r="O99" s="53">
        <f t="shared" si="33"/>
        <v>-15.050000000000068</v>
      </c>
      <c r="P99" s="56">
        <f>N99/M99*100</f>
        <v>94.4259259259259</v>
      </c>
      <c r="Q99" s="56">
        <f>N99-264.3</f>
        <v>-9.35000000000008</v>
      </c>
      <c r="R99" s="135">
        <f>N99/264.3</f>
        <v>0.9646235338630341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220.7</v>
      </c>
      <c r="G102" s="144"/>
      <c r="H102" s="146"/>
      <c r="I102" s="145"/>
      <c r="J102" s="145"/>
      <c r="K102" s="148">
        <f>F102-139.6</f>
        <v>81.1</v>
      </c>
      <c r="L102" s="149">
        <f>F102/139.6</f>
        <v>1.580945558739255</v>
      </c>
      <c r="M102" s="40">
        <f>E102-березень!E102</f>
        <v>0</v>
      </c>
      <c r="N102" s="40">
        <f>F102-березень!F102</f>
        <v>46.79999999999998</v>
      </c>
      <c r="O102" s="53"/>
      <c r="P102" s="60"/>
      <c r="Q102" s="60">
        <f>N102-51</f>
        <v>-4.200000000000017</v>
      </c>
      <c r="R102" s="138">
        <f>N102/51</f>
        <v>0.917647058823529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6.39</v>
      </c>
      <c r="G104" s="49">
        <f>F104-E104</f>
        <v>-2.8099999999999996</v>
      </c>
      <c r="H104" s="40"/>
      <c r="I104" s="56">
        <f t="shared" si="34"/>
        <v>-38.61</v>
      </c>
      <c r="J104" s="56">
        <f aca="true" t="shared" si="36" ref="J104:J109">F104/D104*100</f>
        <v>14.2</v>
      </c>
      <c r="K104" s="56">
        <f>F104-12.1</f>
        <v>-5.71</v>
      </c>
      <c r="L104" s="135">
        <f>F104/12.1</f>
        <v>0.528099173553719</v>
      </c>
      <c r="M104" s="40">
        <f>E104-березень!E104</f>
        <v>2.999999999999999</v>
      </c>
      <c r="N104" s="40">
        <f>F104-березень!F104</f>
        <v>0.47999999999999954</v>
      </c>
      <c r="O104" s="53">
        <f t="shared" si="35"/>
        <v>-2.5199999999999996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161177.69000000003</v>
      </c>
      <c r="F106" s="22">
        <f>F8+F74+F104+F105</f>
        <v>121791.46999999999</v>
      </c>
      <c r="G106" s="50">
        <f>F106-E106</f>
        <v>-39386.220000000045</v>
      </c>
      <c r="H106" s="51">
        <f>F106/E106*100</f>
        <v>75.56347903981</v>
      </c>
      <c r="I106" s="36">
        <f t="shared" si="34"/>
        <v>-415248.43000000005</v>
      </c>
      <c r="J106" s="36">
        <f t="shared" si="36"/>
        <v>22.678290756422378</v>
      </c>
      <c r="K106" s="36">
        <f>F106-156502.1</f>
        <v>-34710.63000000002</v>
      </c>
      <c r="L106" s="136">
        <f>F106/156502.1</f>
        <v>0.7782098131590566</v>
      </c>
      <c r="M106" s="22">
        <f>M8+M74+M104+M105</f>
        <v>43101.59</v>
      </c>
      <c r="N106" s="22">
        <f>N8+N74+N104+N105</f>
        <v>11056.959999999995</v>
      </c>
      <c r="O106" s="55">
        <f t="shared" si="35"/>
        <v>-32044.63</v>
      </c>
      <c r="P106" s="36">
        <f>N106/M106*100</f>
        <v>25.653253163050355</v>
      </c>
      <c r="Q106" s="36">
        <f>N106-41720.7</f>
        <v>-30663.74</v>
      </c>
      <c r="R106" s="136">
        <f>N106/41720.7</f>
        <v>0.26502335770972196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128797.6</v>
      </c>
      <c r="F107" s="71">
        <f>F10-F18+F96</f>
        <v>95075.5</v>
      </c>
      <c r="G107" s="71">
        <f>G10-G18+G96</f>
        <v>-33722.100000000006</v>
      </c>
      <c r="H107" s="72">
        <f>F107/E107*100</f>
        <v>73.81775747374174</v>
      </c>
      <c r="I107" s="52">
        <f t="shared" si="34"/>
        <v>-324490.7</v>
      </c>
      <c r="J107" s="52">
        <f t="shared" si="36"/>
        <v>22.660428795265204</v>
      </c>
      <c r="K107" s="52">
        <f>F107-117642.3</f>
        <v>-22566.800000000003</v>
      </c>
      <c r="L107" s="137">
        <f>F107/117642.3</f>
        <v>0.8081744406561245</v>
      </c>
      <c r="M107" s="71">
        <f>M10-M18+M96</f>
        <v>35116.5</v>
      </c>
      <c r="N107" s="71">
        <f>N10-N18+N96</f>
        <v>8830.019999999997</v>
      </c>
      <c r="O107" s="53">
        <f t="shared" si="35"/>
        <v>-26286.480000000003</v>
      </c>
      <c r="P107" s="52">
        <f>N107/M107*100</f>
        <v>25.144931869633925</v>
      </c>
      <c r="Q107" s="52">
        <f>N107-32216.7</f>
        <v>-23386.680000000004</v>
      </c>
      <c r="R107" s="137">
        <f>N107/32216.7</f>
        <v>0.27408207544534346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32380.090000000026</v>
      </c>
      <c r="F108" s="71">
        <f>F106-F107</f>
        <v>26715.969999999987</v>
      </c>
      <c r="G108" s="62">
        <f>F108-E108</f>
        <v>-5664.120000000039</v>
      </c>
      <c r="H108" s="72">
        <f>F108/E108*100</f>
        <v>82.5073988367542</v>
      </c>
      <c r="I108" s="52">
        <f t="shared" si="34"/>
        <v>-90757.73000000003</v>
      </c>
      <c r="J108" s="52">
        <f t="shared" si="36"/>
        <v>22.742086100974078</v>
      </c>
      <c r="K108" s="52">
        <f>F108-38859.8</f>
        <v>-12143.830000000016</v>
      </c>
      <c r="L108" s="137">
        <f>F108/38859.8</f>
        <v>0.6874963329713479</v>
      </c>
      <c r="M108" s="71">
        <f>M106-M107</f>
        <v>7985.0899999999965</v>
      </c>
      <c r="N108" s="71">
        <f>N106-N107</f>
        <v>2226.9399999999987</v>
      </c>
      <c r="O108" s="53">
        <f t="shared" si="35"/>
        <v>-5758.149999999998</v>
      </c>
      <c r="P108" s="52">
        <f>N108/M108*100</f>
        <v>27.888727616094496</v>
      </c>
      <c r="Q108" s="52">
        <f>N108-9504</f>
        <v>-7277.060000000001</v>
      </c>
      <c r="R108" s="137">
        <f>N108/9504</f>
        <v>0.2343160774410773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95075.5</v>
      </c>
      <c r="G109" s="111">
        <f>F109-E109</f>
        <v>-25552.300000000003</v>
      </c>
      <c r="H109" s="72">
        <f>F109/E109*100</f>
        <v>78.81723781748485</v>
      </c>
      <c r="I109" s="81">
        <f t="shared" si="34"/>
        <v>-293137.7</v>
      </c>
      <c r="J109" s="52">
        <f t="shared" si="36"/>
        <v>24.490537673628822</v>
      </c>
      <c r="K109" s="52"/>
      <c r="L109" s="137"/>
      <c r="M109" s="72">
        <f>E109-березень!E109</f>
        <v>32316.600000000006</v>
      </c>
      <c r="N109" s="71">
        <f>N107</f>
        <v>8830.019999999997</v>
      </c>
      <c r="O109" s="118">
        <f t="shared" si="35"/>
        <v>-23486.58000000001</v>
      </c>
      <c r="P109" s="52">
        <f>N109/M109*100</f>
        <v>27.32348081171904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65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-1.22</v>
      </c>
      <c r="G113" s="49">
        <f aca="true" t="shared" si="37" ref="G113:G125">F113-E113</f>
        <v>-1.22</v>
      </c>
      <c r="H113" s="40"/>
      <c r="I113" s="60">
        <f aca="true" t="shared" si="38" ref="I113:I124">F113-D113</f>
        <v>-1.22</v>
      </c>
      <c r="J113" s="60"/>
      <c r="K113" s="60">
        <f>F113-6.7</f>
        <v>-7.92</v>
      </c>
      <c r="L113" s="138">
        <f>F113/6.7</f>
        <v>-0.18208955223880596</v>
      </c>
      <c r="M113" s="40">
        <f>E113-березень!E113</f>
        <v>0</v>
      </c>
      <c r="N113" s="40">
        <f>F113-березень!F113</f>
        <v>1.66</v>
      </c>
      <c r="O113" s="53"/>
      <c r="P113" s="60"/>
      <c r="Q113" s="60">
        <f>N113-2.1</f>
        <v>-0.44000000000000017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326.6</v>
      </c>
      <c r="G114" s="49">
        <f t="shared" si="37"/>
        <v>-715.4999999999999</v>
      </c>
      <c r="H114" s="40">
        <f aca="true" t="shared" si="39" ref="H114:H125">F114/E114*100</f>
        <v>31.34056232607236</v>
      </c>
      <c r="I114" s="60">
        <f t="shared" si="38"/>
        <v>-3344.9</v>
      </c>
      <c r="J114" s="60">
        <f aca="true" t="shared" si="40" ref="J114:J120">F114/D114*100</f>
        <v>8.89554677924554</v>
      </c>
      <c r="K114" s="60">
        <f>F114-1203.2</f>
        <v>-876.6</v>
      </c>
      <c r="L114" s="138">
        <f>F114/1203.2</f>
        <v>0.2714428191489362</v>
      </c>
      <c r="M114" s="40">
        <f>E114-березень!E114</f>
        <v>327.4999999999999</v>
      </c>
      <c r="N114" s="40">
        <f>F114-березень!F114</f>
        <v>42.950000000000045</v>
      </c>
      <c r="O114" s="53">
        <f aca="true" t="shared" si="41" ref="O114:O125">N114-M114</f>
        <v>-284.54999999999984</v>
      </c>
      <c r="P114" s="60">
        <f>N114/M114*100</f>
        <v>13.114503816793913</v>
      </c>
      <c r="Q114" s="60">
        <f>N114-368.9</f>
        <v>-325.94999999999993</v>
      </c>
      <c r="R114" s="138">
        <f>N114/368.9</f>
        <v>0.11642721604770953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89.1</v>
      </c>
      <c r="G115" s="49">
        <f t="shared" si="37"/>
        <v>-1.4000000000000057</v>
      </c>
      <c r="H115" s="40">
        <f t="shared" si="39"/>
        <v>98.45303867403314</v>
      </c>
      <c r="I115" s="60">
        <f t="shared" si="38"/>
        <v>-179.00000000000003</v>
      </c>
      <c r="J115" s="60">
        <f t="shared" si="40"/>
        <v>33.23386795971652</v>
      </c>
      <c r="K115" s="60">
        <f>F115-84.2</f>
        <v>4.8999999999999915</v>
      </c>
      <c r="L115" s="138">
        <f>F115/84.2</f>
        <v>1.0581947743467932</v>
      </c>
      <c r="M115" s="40">
        <f>E115-березень!E115</f>
        <v>22</v>
      </c>
      <c r="N115" s="40">
        <f>F115-березень!F115</f>
        <v>18.409999999999997</v>
      </c>
      <c r="O115" s="53">
        <f t="shared" si="41"/>
        <v>-3.5900000000000034</v>
      </c>
      <c r="P115" s="60">
        <f>N115/M115*100</f>
        <v>83.68181818181817</v>
      </c>
      <c r="Q115" s="60">
        <f>N115-20.8</f>
        <v>-2.390000000000004</v>
      </c>
      <c r="R115" s="138">
        <f>N115/20.8</f>
        <v>0.8850961538461537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414.48</v>
      </c>
      <c r="G116" s="62">
        <f t="shared" si="37"/>
        <v>-718.1199999999999</v>
      </c>
      <c r="H116" s="72">
        <f t="shared" si="39"/>
        <v>36.59544411089529</v>
      </c>
      <c r="I116" s="61">
        <f t="shared" si="38"/>
        <v>-3525.12</v>
      </c>
      <c r="J116" s="61">
        <f t="shared" si="40"/>
        <v>10.520865062442889</v>
      </c>
      <c r="K116" s="61">
        <f>F116-1294.2</f>
        <v>-879.72</v>
      </c>
      <c r="L116" s="139">
        <f>F116/1294.2</f>
        <v>0.32025961984237367</v>
      </c>
      <c r="M116" s="62">
        <f>M114+M115+M113</f>
        <v>349.4999999999999</v>
      </c>
      <c r="N116" s="38">
        <f>SUM(N113:N115)</f>
        <v>63.02000000000004</v>
      </c>
      <c r="O116" s="61">
        <f t="shared" si="41"/>
        <v>-286.47999999999985</v>
      </c>
      <c r="P116" s="61">
        <f>N116/M116*100</f>
        <v>18.031473533619476</v>
      </c>
      <c r="Q116" s="61">
        <f>N116-391.8</f>
        <v>-328.78</v>
      </c>
      <c r="R116" s="139">
        <f>N116/391.8</f>
        <v>0.1608473711077081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107.02</v>
      </c>
      <c r="G118" s="49">
        <f t="shared" si="37"/>
        <v>107.02</v>
      </c>
      <c r="H118" s="40" t="e">
        <f t="shared" si="39"/>
        <v>#DIV/0!</v>
      </c>
      <c r="I118" s="60">
        <f t="shared" si="38"/>
        <v>107.02</v>
      </c>
      <c r="J118" s="60" t="e">
        <f t="shared" si="40"/>
        <v>#DIV/0!</v>
      </c>
      <c r="K118" s="60">
        <f>F118-88.4</f>
        <v>18.61999999999999</v>
      </c>
      <c r="L118" s="138">
        <f>F118/88.4</f>
        <v>1.2106334841628958</v>
      </c>
      <c r="M118" s="40">
        <f>E118-березень!E118</f>
        <v>0</v>
      </c>
      <c r="N118" s="40">
        <f>F118-березень!F118</f>
        <v>5.549999999999997</v>
      </c>
      <c r="O118" s="53" t="s">
        <v>166</v>
      </c>
      <c r="P118" s="60"/>
      <c r="Q118" s="60">
        <f>N118-80.7</f>
        <v>-75.15</v>
      </c>
      <c r="R118" s="138">
        <f>N118/80.7</f>
        <v>0.06877323420074345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23812.6</v>
      </c>
      <c r="F119" s="33">
        <v>22353.2</v>
      </c>
      <c r="G119" s="49">
        <f t="shared" si="37"/>
        <v>-1459.3999999999978</v>
      </c>
      <c r="H119" s="40">
        <f t="shared" si="39"/>
        <v>93.87131182651203</v>
      </c>
      <c r="I119" s="53">
        <f t="shared" si="38"/>
        <v>-3634.1849999999977</v>
      </c>
      <c r="J119" s="60">
        <f t="shared" si="40"/>
        <v>86.01558025172599</v>
      </c>
      <c r="K119" s="60">
        <f>F119-23645.2</f>
        <v>-1292</v>
      </c>
      <c r="L119" s="138">
        <f>F119/23645.2</f>
        <v>0.9453588889076853</v>
      </c>
      <c r="M119" s="40">
        <f>E119-березень!E119</f>
        <v>5200</v>
      </c>
      <c r="N119" s="40">
        <f>F119-березень!F119</f>
        <v>2658.16</v>
      </c>
      <c r="O119" s="53">
        <f t="shared" si="41"/>
        <v>-2541.84</v>
      </c>
      <c r="P119" s="60">
        <f>N119/M119*100</f>
        <v>51.11846153846153</v>
      </c>
      <c r="Q119" s="60">
        <f>N119-6401.1</f>
        <v>-3742.9400000000005</v>
      </c>
      <c r="R119" s="138">
        <f>N119/6401.1</f>
        <v>0.4152661261345706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799.1</v>
      </c>
      <c r="G120" s="49">
        <f t="shared" si="37"/>
        <v>799.1</v>
      </c>
      <c r="H120" s="40" t="e">
        <f t="shared" si="39"/>
        <v>#DIV/0!</v>
      </c>
      <c r="I120" s="60">
        <f t="shared" si="38"/>
        <v>799.1</v>
      </c>
      <c r="J120" s="60" t="e">
        <f t="shared" si="40"/>
        <v>#DIV/0!</v>
      </c>
      <c r="K120" s="60">
        <f>F120-436.1</f>
        <v>363</v>
      </c>
      <c r="L120" s="138">
        <f>F120/436.1</f>
        <v>1.832377894978216</v>
      </c>
      <c r="M120" s="40">
        <f>E120-березень!E120</f>
        <v>0</v>
      </c>
      <c r="N120" s="40">
        <f>F120-березень!F120</f>
        <v>280.47</v>
      </c>
      <c r="O120" s="53">
        <f t="shared" si="41"/>
        <v>280.47</v>
      </c>
      <c r="P120" s="60" t="e">
        <f>N120/M120*100</f>
        <v>#DIV/0!</v>
      </c>
      <c r="Q120" s="60">
        <f>N120-155.6</f>
        <v>124.87000000000003</v>
      </c>
      <c r="R120" s="138">
        <f>N120/155.6</f>
        <v>1.8025064267352187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1196.05</v>
      </c>
      <c r="G121" s="49">
        <f t="shared" si="37"/>
        <v>1196.05</v>
      </c>
      <c r="H121" s="40" t="e">
        <f t="shared" si="39"/>
        <v>#DIV/0!</v>
      </c>
      <c r="I121" s="60">
        <f t="shared" si="38"/>
        <v>1196.05</v>
      </c>
      <c r="J121" s="60" t="e">
        <f>F121/D121*100</f>
        <v>#DIV/0!</v>
      </c>
      <c r="K121" s="60">
        <f>F121-7276</f>
        <v>-6079.95</v>
      </c>
      <c r="L121" s="138">
        <f>F121/7276</f>
        <v>0.1643829026937878</v>
      </c>
      <c r="M121" s="40">
        <f>E121-березень!E121</f>
        <v>0</v>
      </c>
      <c r="N121" s="40">
        <f>F121-березень!F121</f>
        <v>52.08999999999992</v>
      </c>
      <c r="O121" s="53">
        <f t="shared" si="41"/>
        <v>52.08999999999992</v>
      </c>
      <c r="P121" s="60" t="e">
        <f>N121/M121*100</f>
        <v>#DIV/0!</v>
      </c>
      <c r="Q121" s="60">
        <f>N121-282.5</f>
        <v>-230.41000000000008</v>
      </c>
      <c r="R121" s="138">
        <f>N121/282.5</f>
        <v>0.18438938053097317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483.27</v>
      </c>
      <c r="G122" s="49">
        <f t="shared" si="37"/>
        <v>483.27</v>
      </c>
      <c r="H122" s="40" t="e">
        <f t="shared" si="39"/>
        <v>#DIV/0!</v>
      </c>
      <c r="I122" s="60">
        <f t="shared" si="38"/>
        <v>483.27</v>
      </c>
      <c r="J122" s="60" t="e">
        <f>F122/D122*100</f>
        <v>#DIV/0!</v>
      </c>
      <c r="K122" s="60">
        <f>F122-1170.5</f>
        <v>-687.23</v>
      </c>
      <c r="L122" s="138">
        <f>F122/1170.5</f>
        <v>0.41287483981204615</v>
      </c>
      <c r="M122" s="40">
        <f>E122-березень!E122</f>
        <v>0</v>
      </c>
      <c r="N122" s="40">
        <f>F122-березень!F122</f>
        <v>19.349999999999966</v>
      </c>
      <c r="O122" s="53">
        <f t="shared" si="41"/>
        <v>19.349999999999966</v>
      </c>
      <c r="P122" s="60" t="e">
        <f>N122/M122*100</f>
        <v>#DIV/0!</v>
      </c>
      <c r="Q122" s="60">
        <f>N122-856</f>
        <v>-836.6500000000001</v>
      </c>
      <c r="R122" s="138">
        <f>N122/865</f>
        <v>0.022369942196531753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23812.6</v>
      </c>
      <c r="F123" s="38">
        <f>F119+F120+F121+F122+F118</f>
        <v>24938.64</v>
      </c>
      <c r="G123" s="62">
        <f t="shared" si="37"/>
        <v>1126.0400000000009</v>
      </c>
      <c r="H123" s="72">
        <f t="shared" si="39"/>
        <v>104.72875704458984</v>
      </c>
      <c r="I123" s="61">
        <f t="shared" si="38"/>
        <v>-1048.744999999999</v>
      </c>
      <c r="J123" s="61">
        <f>F123/D123*100</f>
        <v>95.96440734610275</v>
      </c>
      <c r="K123" s="61">
        <f>F123-32616.1</f>
        <v>-7677.459999999999</v>
      </c>
      <c r="L123" s="139">
        <f>F123/32616.1</f>
        <v>0.7646113422512195</v>
      </c>
      <c r="M123" s="62">
        <f>M119+M120+M121+M122+M118</f>
        <v>5200</v>
      </c>
      <c r="N123" s="62">
        <f>N119+N120+N121+N122+N118</f>
        <v>3015.6200000000003</v>
      </c>
      <c r="O123" s="61">
        <f t="shared" si="41"/>
        <v>-2184.3799999999997</v>
      </c>
      <c r="P123" s="61">
        <f>N123/M123*100</f>
        <v>57.992692307692316</v>
      </c>
      <c r="Q123" s="61">
        <f>N123-7775.9</f>
        <v>-4760.279999999999</v>
      </c>
      <c r="R123" s="139">
        <f>N123/7775.9</f>
        <v>0.38781620134003786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4.36</v>
      </c>
      <c r="G124" s="49">
        <f t="shared" si="37"/>
        <v>-6.8</v>
      </c>
      <c r="H124" s="40">
        <f t="shared" si="39"/>
        <v>39.06810035842294</v>
      </c>
      <c r="I124" s="60">
        <f t="shared" si="38"/>
        <v>-39.14</v>
      </c>
      <c r="J124" s="60">
        <f>F124/D124*100</f>
        <v>10.022988505747128</v>
      </c>
      <c r="K124" s="60">
        <f>F124-97.8</f>
        <v>-93.44</v>
      </c>
      <c r="L124" s="138">
        <f>F124/97.8</f>
        <v>0.04458077709611452</v>
      </c>
      <c r="M124" s="40">
        <f>E124-березень!E124</f>
        <v>3</v>
      </c>
      <c r="N124" s="40">
        <f>F124-березень!F124</f>
        <v>0</v>
      </c>
      <c r="O124" s="53">
        <f t="shared" si="41"/>
        <v>-3</v>
      </c>
      <c r="P124" s="60">
        <f>N124/M124*100</f>
        <v>0</v>
      </c>
      <c r="Q124" s="60">
        <f>N124-0.8</f>
        <v>-0.8</v>
      </c>
      <c r="R124" s="138">
        <f>N124/0.8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E126-березень!E126</f>
        <v>0</v>
      </c>
      <c r="N126" s="40">
        <f>F126-березень!F126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2605.97</v>
      </c>
      <c r="G127" s="49">
        <f aca="true" t="shared" si="42" ref="G127:G134">F127-E127</f>
        <v>96.4699999999998</v>
      </c>
      <c r="H127" s="40">
        <f>F127/E127*100</f>
        <v>103.84419207013349</v>
      </c>
      <c r="I127" s="60">
        <f aca="true" t="shared" si="43" ref="I127:I134">F127-D127</f>
        <v>-6094.030000000001</v>
      </c>
      <c r="J127" s="60">
        <f>F127/D127*100</f>
        <v>29.953678160919537</v>
      </c>
      <c r="K127" s="60">
        <f>F127-2832.5</f>
        <v>-226.5300000000002</v>
      </c>
      <c r="L127" s="138">
        <f>F127/2832.5</f>
        <v>0.9200247131509267</v>
      </c>
      <c r="M127" s="40">
        <f>E127-березень!E127</f>
        <v>2</v>
      </c>
      <c r="N127" s="40">
        <f>F127-березень!F127</f>
        <v>2.2199999999998</v>
      </c>
      <c r="O127" s="53">
        <f aca="true" t="shared" si="44" ref="O127:O134">N127-M127</f>
        <v>0.2199999999997999</v>
      </c>
      <c r="P127" s="60">
        <f>N127/M127*100</f>
        <v>110.99999999999</v>
      </c>
      <c r="Q127" s="60">
        <f>N127-392.9</f>
        <v>-390.6800000000002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-0.35</v>
      </c>
      <c r="G128" s="49">
        <f t="shared" si="42"/>
        <v>-0.35</v>
      </c>
      <c r="H128" s="40"/>
      <c r="I128" s="60">
        <f t="shared" si="43"/>
        <v>-0.35</v>
      </c>
      <c r="J128" s="60"/>
      <c r="K128" s="60">
        <f>F128-(-0.6)</f>
        <v>0.25</v>
      </c>
      <c r="L128" s="138">
        <f>F128/(-0.6)</f>
        <v>0.5833333333333334</v>
      </c>
      <c r="M128" s="40">
        <f>E128-березень!E128</f>
        <v>0</v>
      </c>
      <c r="N128" s="40">
        <f>F128-березень!F128</f>
        <v>0.010000000000000009</v>
      </c>
      <c r="O128" s="53">
        <f t="shared" si="44"/>
        <v>0.010000000000000009</v>
      </c>
      <c r="P128" s="60"/>
      <c r="Q128" s="60">
        <f>N128-0.2</f>
        <v>-0.19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2618.7400000000002</v>
      </c>
      <c r="G129" s="62">
        <f t="shared" si="42"/>
        <v>90.88000000000056</v>
      </c>
      <c r="H129" s="72">
        <f>F129/E129*100</f>
        <v>103.59513580657158</v>
      </c>
      <c r="I129" s="61">
        <f t="shared" si="43"/>
        <v>-6131.960000000001</v>
      </c>
      <c r="J129" s="61">
        <f>F129/D129*100</f>
        <v>29.92606305781252</v>
      </c>
      <c r="K129" s="61">
        <f>F129-2938.1</f>
        <v>-319.3599999999997</v>
      </c>
      <c r="L129" s="139">
        <f>G129/2938.1</f>
        <v>0.030931554405908772</v>
      </c>
      <c r="M129" s="62">
        <f>M124+M127+M128+M126</f>
        <v>5</v>
      </c>
      <c r="N129" s="62">
        <f>N124+N127+N128+N126</f>
        <v>2.2299999999997997</v>
      </c>
      <c r="O129" s="61">
        <f t="shared" si="44"/>
        <v>-2.7700000000002003</v>
      </c>
      <c r="P129" s="61">
        <f>N129/M129*100</f>
        <v>44.599999999995994</v>
      </c>
      <c r="Q129" s="61">
        <f>N129-393.8</f>
        <v>-391.5700000000002</v>
      </c>
      <c r="R129" s="137">
        <f>N129/393.8</f>
        <v>0.005662772981208227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10.97</v>
      </c>
      <c r="G130" s="49">
        <f>F130-E130</f>
        <v>2.7200000000000006</v>
      </c>
      <c r="H130" s="40">
        <f>F130/E130*100</f>
        <v>132.96969696969697</v>
      </c>
      <c r="I130" s="60">
        <f>F130-D130</f>
        <v>-19.03</v>
      </c>
      <c r="J130" s="60">
        <f>F130/D130*100</f>
        <v>36.56666666666667</v>
      </c>
      <c r="K130" s="60">
        <f>F130-8.8</f>
        <v>2.17</v>
      </c>
      <c r="L130" s="138">
        <f>F130/8.8</f>
        <v>1.246590909090909</v>
      </c>
      <c r="M130" s="40">
        <f>E130-березень!E130</f>
        <v>0.40000000000000036</v>
      </c>
      <c r="N130" s="40">
        <f>F130-березень!F130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2"/>
        <v>0</v>
      </c>
      <c r="H132" s="40" t="e">
        <f>F132/E132*100</f>
        <v>#DIV/0!</v>
      </c>
      <c r="I132" s="60">
        <f t="shared" si="43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4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27481.309999999998</v>
      </c>
      <c r="F133" s="31">
        <f>F116+F130+F123+F129+F132+F131</f>
        <v>27982.83</v>
      </c>
      <c r="G133" s="50">
        <f t="shared" si="42"/>
        <v>501.5200000000041</v>
      </c>
      <c r="H133" s="51">
        <f>F133/E133*100</f>
        <v>101.8249493928783</v>
      </c>
      <c r="I133" s="36">
        <f t="shared" si="43"/>
        <v>-10724.854999999996</v>
      </c>
      <c r="J133" s="36">
        <f>F133/D133*100</f>
        <v>72.29269846543393</v>
      </c>
      <c r="K133" s="36">
        <f>F133-36860.1</f>
        <v>-8877.269999999997</v>
      </c>
      <c r="L133" s="136">
        <f>F133/36860.1</f>
        <v>0.7591631601650566</v>
      </c>
      <c r="M133" s="31">
        <f>M116+M130+M123+M129+M132+M131</f>
        <v>5554.9</v>
      </c>
      <c r="N133" s="31">
        <f>N116+N130+N123+N129+N132+N131</f>
        <v>3080.8700000000003</v>
      </c>
      <c r="O133" s="36">
        <f t="shared" si="44"/>
        <v>-2474.0299999999993</v>
      </c>
      <c r="P133" s="36">
        <f>N133/M133*100</f>
        <v>55.46220454013575</v>
      </c>
      <c r="Q133" s="36">
        <f>N133-8565.9</f>
        <v>-5485.029999999999</v>
      </c>
      <c r="R133" s="136">
        <f>N133/8564.9</f>
        <v>0.35970881154479334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188659.00000000003</v>
      </c>
      <c r="F134" s="31">
        <f>F106+F133</f>
        <v>149774.3</v>
      </c>
      <c r="G134" s="50">
        <f t="shared" si="42"/>
        <v>-38884.70000000004</v>
      </c>
      <c r="H134" s="51">
        <f>F134/E134*100</f>
        <v>79.38889742869408</v>
      </c>
      <c r="I134" s="36">
        <f t="shared" si="43"/>
        <v>-425973.285</v>
      </c>
      <c r="J134" s="36">
        <f>F134/D134*100</f>
        <v>26.013882455104003</v>
      </c>
      <c r="K134" s="36">
        <f>F134-193362.2</f>
        <v>-43587.90000000002</v>
      </c>
      <c r="L134" s="136">
        <f>F134/193362.2</f>
        <v>0.774579002514452</v>
      </c>
      <c r="M134" s="22">
        <f>M106+M133</f>
        <v>48656.49</v>
      </c>
      <c r="N134" s="22">
        <f>N106+N133</f>
        <v>14137.829999999996</v>
      </c>
      <c r="O134" s="36">
        <f t="shared" si="44"/>
        <v>-34518.66</v>
      </c>
      <c r="P134" s="36">
        <f>N134/M134*100</f>
        <v>29.056411590725094</v>
      </c>
      <c r="Q134" s="36">
        <f>N134-50285.6</f>
        <v>-36147.770000000004</v>
      </c>
      <c r="R134" s="136">
        <f>N134/50285.6</f>
        <v>0.28115066738788036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11</v>
      </c>
      <c r="D136" s="4" t="s">
        <v>118</v>
      </c>
    </row>
    <row r="137" spans="2:17" ht="31.5">
      <c r="B137" s="78" t="s">
        <v>154</v>
      </c>
      <c r="C137" s="39">
        <f>IF(O106&lt;0,ABS(O106/C136),0)</f>
        <v>2913.148181818182</v>
      </c>
      <c r="D137" s="4" t="s">
        <v>104</v>
      </c>
      <c r="G137" s="161"/>
      <c r="H137" s="161"/>
      <c r="I137" s="161"/>
      <c r="J137" s="16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41743</v>
      </c>
      <c r="D138" s="39">
        <v>874.5</v>
      </c>
      <c r="N138" s="178"/>
      <c r="O138" s="178"/>
    </row>
    <row r="139" spans="3:15" ht="15.75">
      <c r="C139" s="120">
        <v>41740</v>
      </c>
      <c r="D139" s="39">
        <v>571.2</v>
      </c>
      <c r="F139" s="4" t="s">
        <v>166</v>
      </c>
      <c r="G139" s="174" t="s">
        <v>151</v>
      </c>
      <c r="H139" s="174"/>
      <c r="I139" s="115">
        <f>'[1]залишки  (2)'!$G$9/1000</f>
        <v>13825.22196</v>
      </c>
      <c r="J139" s="175" t="s">
        <v>161</v>
      </c>
      <c r="K139" s="175"/>
      <c r="L139" s="175"/>
      <c r="M139" s="175"/>
      <c r="N139" s="178"/>
      <c r="O139" s="178"/>
    </row>
    <row r="140" spans="3:15" ht="15.75">
      <c r="C140" s="120">
        <v>41739</v>
      </c>
      <c r="D140" s="39">
        <v>1067.4</v>
      </c>
      <c r="G140" s="176" t="s">
        <v>155</v>
      </c>
      <c r="H140" s="176"/>
      <c r="I140" s="112">
        <v>0</v>
      </c>
      <c r="J140" s="177" t="s">
        <v>162</v>
      </c>
      <c r="K140" s="177"/>
      <c r="L140" s="177"/>
      <c r="M140" s="177"/>
      <c r="N140" s="178"/>
      <c r="O140" s="178"/>
    </row>
    <row r="141" spans="7:13" ht="15.75" customHeight="1">
      <c r="G141" s="174" t="s">
        <v>148</v>
      </c>
      <c r="H141" s="174"/>
      <c r="I141" s="112">
        <f>'[1]залишки  (2)'!$G$8/1000</f>
        <v>0</v>
      </c>
      <c r="J141" s="175" t="s">
        <v>163</v>
      </c>
      <c r="K141" s="175"/>
      <c r="L141" s="175"/>
      <c r="M141" s="175"/>
    </row>
    <row r="142" spans="2:13" ht="18.75" customHeight="1">
      <c r="B142" s="172" t="s">
        <v>160</v>
      </c>
      <c r="C142" s="173"/>
      <c r="D142" s="117">
        <f>'[1]залишки  (2)'!$G$6/1000</f>
        <v>118000.64116</v>
      </c>
      <c r="E142" s="80"/>
      <c r="F142" s="100" t="s">
        <v>147</v>
      </c>
      <c r="G142" s="174" t="s">
        <v>149</v>
      </c>
      <c r="H142" s="174"/>
      <c r="I142" s="116">
        <f>'[1]залишки  (2)'!$G$10/1000</f>
        <v>104175.41919999999</v>
      </c>
      <c r="J142" s="175" t="s">
        <v>164</v>
      </c>
      <c r="K142" s="175"/>
      <c r="L142" s="175"/>
      <c r="M142" s="175"/>
    </row>
    <row r="143" spans="7:12" ht="9.75" customHeight="1">
      <c r="G143" s="168"/>
      <c r="H143" s="168"/>
      <c r="I143" s="98"/>
      <c r="J143" s="99"/>
      <c r="K143" s="99"/>
      <c r="L143" s="99"/>
    </row>
    <row r="144" spans="2:12" ht="22.5" customHeight="1">
      <c r="B144" s="169" t="s">
        <v>169</v>
      </c>
      <c r="C144" s="170"/>
      <c r="D144" s="119">
        <v>0</v>
      </c>
      <c r="E144" s="77" t="s">
        <v>104</v>
      </c>
      <c r="G144" s="168"/>
      <c r="H144" s="168"/>
      <c r="I144" s="98"/>
      <c r="J144" s="99"/>
      <c r="K144" s="99"/>
      <c r="L144" s="99"/>
    </row>
    <row r="145" spans="4:15" ht="15.75">
      <c r="D145" s="114"/>
      <c r="N145" s="168"/>
      <c r="O145" s="168"/>
    </row>
    <row r="146" spans="4:15" ht="15.75">
      <c r="D146" s="113"/>
      <c r="I146" s="39"/>
      <c r="N146" s="171"/>
      <c r="O146" s="171"/>
    </row>
    <row r="147" spans="14:15" ht="15.75">
      <c r="N147" s="168"/>
      <c r="O147" s="168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11" sqref="E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8" t="s">
        <v>212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194" t="s">
        <v>208</v>
      </c>
      <c r="E3" s="194"/>
      <c r="F3" s="195" t="s">
        <v>107</v>
      </c>
      <c r="G3" s="196"/>
      <c r="H3" s="196"/>
      <c r="I3" s="196"/>
      <c r="J3" s="196"/>
      <c r="K3" s="196"/>
      <c r="L3" s="197"/>
      <c r="M3" s="198" t="s">
        <v>210</v>
      </c>
      <c r="N3" s="200" t="s">
        <v>198</v>
      </c>
      <c r="O3" s="200"/>
      <c r="P3" s="200"/>
      <c r="Q3" s="200"/>
      <c r="R3" s="200"/>
    </row>
    <row r="4" spans="1:18" ht="22.5" customHeight="1">
      <c r="A4" s="190"/>
      <c r="B4" s="192"/>
      <c r="C4" s="193"/>
      <c r="D4" s="194"/>
      <c r="E4" s="194"/>
      <c r="F4" s="201" t="s">
        <v>116</v>
      </c>
      <c r="G4" s="182" t="s">
        <v>207</v>
      </c>
      <c r="H4" s="184" t="s">
        <v>195</v>
      </c>
      <c r="I4" s="180" t="s">
        <v>188</v>
      </c>
      <c r="J4" s="186" t="s">
        <v>189</v>
      </c>
      <c r="K4" s="179" t="s">
        <v>196</v>
      </c>
      <c r="L4" s="158"/>
      <c r="M4" s="199"/>
      <c r="N4" s="162" t="s">
        <v>213</v>
      </c>
      <c r="O4" s="180" t="s">
        <v>136</v>
      </c>
      <c r="P4" s="180" t="s">
        <v>135</v>
      </c>
      <c r="Q4" s="179" t="s">
        <v>197</v>
      </c>
      <c r="R4" s="158"/>
    </row>
    <row r="5" spans="1:18" ht="82.5" customHeight="1">
      <c r="A5" s="191"/>
      <c r="B5" s="192"/>
      <c r="C5" s="193"/>
      <c r="D5" s="150" t="s">
        <v>209</v>
      </c>
      <c r="E5" s="164" t="s">
        <v>214</v>
      </c>
      <c r="F5" s="202"/>
      <c r="G5" s="183"/>
      <c r="H5" s="185"/>
      <c r="I5" s="181"/>
      <c r="J5" s="187"/>
      <c r="K5" s="159"/>
      <c r="L5" s="160"/>
      <c r="M5" s="151" t="s">
        <v>211</v>
      </c>
      <c r="N5" s="152"/>
      <c r="O5" s="181"/>
      <c r="P5" s="181"/>
      <c r="Q5" s="159"/>
      <c r="R5" s="16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63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7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5">
        <f>N55-4813.8</f>
        <v>-96.90000000000055</v>
      </c>
      <c r="R55" s="156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173.9</v>
      </c>
      <c r="G102" s="144"/>
      <c r="H102" s="146"/>
      <c r="I102" s="145"/>
      <c r="J102" s="145"/>
      <c r="K102" s="148">
        <f>F102-88.6</f>
        <v>85.30000000000001</v>
      </c>
      <c r="L102" s="149">
        <f>F102/88.6</f>
        <v>1.9627539503386007</v>
      </c>
      <c r="M102" s="40">
        <f>E102-лютий!E102</f>
        <v>0</v>
      </c>
      <c r="N102" s="40">
        <f>F102-лютий!F102</f>
        <v>43.80000000000001</v>
      </c>
      <c r="O102" s="53"/>
      <c r="P102" s="60"/>
      <c r="Q102" s="60">
        <f>N102-31.4</f>
        <v>12.400000000000013</v>
      </c>
      <c r="R102" s="135">
        <f>N102/31.4</f>
        <v>1.3949044585987265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65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>N120/M120*100</f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>N121/M121*100</f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>N122/M122*100</f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>N123/M123*100</f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>N124/M124*100</f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2" ref="G127:G134">F127-E127</f>
        <v>96.25</v>
      </c>
      <c r="H127" s="40">
        <f>F127/E127*100</f>
        <v>103.83848454636092</v>
      </c>
      <c r="I127" s="60">
        <f aca="true" t="shared" si="43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4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2"/>
        <v>-0.36</v>
      </c>
      <c r="H128" s="40"/>
      <c r="I128" s="60">
        <f t="shared" si="43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4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2"/>
        <v>93.65000000000055</v>
      </c>
      <c r="H129" s="72">
        <f>F129/E129*100</f>
        <v>103.71205695123791</v>
      </c>
      <c r="I129" s="61">
        <f t="shared" si="43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4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2"/>
        <v>0</v>
      </c>
      <c r="H132" s="40" t="e">
        <f>F132/E132*100</f>
        <v>#DIV/0!</v>
      </c>
      <c r="I132" s="60">
        <f t="shared" si="43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4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2"/>
        <v>2975.5499999999993</v>
      </c>
      <c r="H133" s="51">
        <f>F133/E133*100</f>
        <v>113.57062099997218</v>
      </c>
      <c r="I133" s="36">
        <f t="shared" si="43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4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2"/>
        <v>-4366.040000000008</v>
      </c>
      <c r="H134" s="51">
        <f>F134/E134*100</f>
        <v>96.88145591104045</v>
      </c>
      <c r="I134" s="36">
        <f t="shared" si="43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4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1"/>
      <c r="H137" s="161"/>
      <c r="I137" s="161"/>
      <c r="J137" s="16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8"/>
      <c r="O138" s="178"/>
    </row>
    <row r="139" spans="3:15" ht="15.75">
      <c r="C139" s="120">
        <v>41726</v>
      </c>
      <c r="D139" s="39">
        <v>4682.6</v>
      </c>
      <c r="F139" s="4" t="s">
        <v>166</v>
      </c>
      <c r="G139" s="174" t="s">
        <v>151</v>
      </c>
      <c r="H139" s="174"/>
      <c r="I139" s="115">
        <v>13825.22196</v>
      </c>
      <c r="J139" s="175" t="s">
        <v>161</v>
      </c>
      <c r="K139" s="175"/>
      <c r="L139" s="175"/>
      <c r="M139" s="175"/>
      <c r="N139" s="178"/>
      <c r="O139" s="178"/>
    </row>
    <row r="140" spans="3:15" ht="15.75">
      <c r="C140" s="120">
        <v>41725</v>
      </c>
      <c r="D140" s="39">
        <v>3360.7</v>
      </c>
      <c r="G140" s="176" t="s">
        <v>155</v>
      </c>
      <c r="H140" s="176"/>
      <c r="I140" s="112">
        <v>0</v>
      </c>
      <c r="J140" s="177" t="s">
        <v>162</v>
      </c>
      <c r="K140" s="177"/>
      <c r="L140" s="177"/>
      <c r="M140" s="177"/>
      <c r="N140" s="178"/>
      <c r="O140" s="178"/>
    </row>
    <row r="141" spans="7:13" ht="15.75" customHeight="1">
      <c r="G141" s="174" t="s">
        <v>148</v>
      </c>
      <c r="H141" s="174"/>
      <c r="I141" s="112">
        <v>0</v>
      </c>
      <c r="J141" s="175" t="s">
        <v>163</v>
      </c>
      <c r="K141" s="175"/>
      <c r="L141" s="175"/>
      <c r="M141" s="175"/>
    </row>
    <row r="142" spans="2:13" ht="18.75" customHeight="1">
      <c r="B142" s="172" t="s">
        <v>160</v>
      </c>
      <c r="C142" s="173"/>
      <c r="D142" s="117">
        <v>114985.02570999999</v>
      </c>
      <c r="E142" s="80"/>
      <c r="F142" s="100" t="s">
        <v>147</v>
      </c>
      <c r="G142" s="174" t="s">
        <v>149</v>
      </c>
      <c r="H142" s="174"/>
      <c r="I142" s="116">
        <v>101159.80375</v>
      </c>
      <c r="J142" s="175" t="s">
        <v>164</v>
      </c>
      <c r="K142" s="175"/>
      <c r="L142" s="175"/>
      <c r="M142" s="175"/>
    </row>
    <row r="143" spans="7:12" ht="9.75" customHeight="1">
      <c r="G143" s="168"/>
      <c r="H143" s="168"/>
      <c r="I143" s="98"/>
      <c r="J143" s="99"/>
      <c r="K143" s="99"/>
      <c r="L143" s="99"/>
    </row>
    <row r="144" spans="2:12" ht="22.5" customHeight="1">
      <c r="B144" s="169" t="s">
        <v>169</v>
      </c>
      <c r="C144" s="170"/>
      <c r="D144" s="119">
        <v>3918.1</v>
      </c>
      <c r="E144" s="77" t="s">
        <v>104</v>
      </c>
      <c r="G144" s="168"/>
      <c r="H144" s="168"/>
      <c r="I144" s="98"/>
      <c r="J144" s="99"/>
      <c r="K144" s="99"/>
      <c r="L144" s="99"/>
    </row>
    <row r="145" spans="4:15" ht="15.75">
      <c r="D145" s="114"/>
      <c r="N145" s="168"/>
      <c r="O145" s="168"/>
    </row>
    <row r="146" spans="4:15" ht="15.75">
      <c r="D146" s="113"/>
      <c r="I146" s="39"/>
      <c r="N146" s="171"/>
      <c r="O146" s="171"/>
    </row>
    <row r="147" spans="14:15" ht="15.75">
      <c r="N147" s="168"/>
      <c r="O147" s="168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1" sqref="F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204" t="s">
        <v>187</v>
      </c>
      <c r="E3" s="46"/>
      <c r="F3" s="205" t="s">
        <v>107</v>
      </c>
      <c r="G3" s="206"/>
      <c r="H3" s="206"/>
      <c r="I3" s="206"/>
      <c r="J3" s="207"/>
      <c r="K3" s="123"/>
      <c r="L3" s="123"/>
      <c r="M3" s="208" t="s">
        <v>190</v>
      </c>
      <c r="N3" s="203" t="s">
        <v>185</v>
      </c>
      <c r="O3" s="203"/>
      <c r="P3" s="203"/>
      <c r="Q3" s="203"/>
      <c r="R3" s="203"/>
    </row>
    <row r="4" spans="1:18" ht="22.5" customHeight="1">
      <c r="A4" s="190"/>
      <c r="B4" s="192"/>
      <c r="C4" s="193"/>
      <c r="D4" s="204"/>
      <c r="E4" s="209" t="s">
        <v>191</v>
      </c>
      <c r="F4" s="211" t="s">
        <v>116</v>
      </c>
      <c r="G4" s="213" t="s">
        <v>167</v>
      </c>
      <c r="H4" s="184" t="s">
        <v>168</v>
      </c>
      <c r="I4" s="215" t="s">
        <v>188</v>
      </c>
      <c r="J4" s="217" t="s">
        <v>189</v>
      </c>
      <c r="K4" s="125" t="s">
        <v>174</v>
      </c>
      <c r="L4" s="130" t="s">
        <v>173</v>
      </c>
      <c r="M4" s="208"/>
      <c r="N4" s="162" t="s">
        <v>194</v>
      </c>
      <c r="O4" s="215" t="s">
        <v>136</v>
      </c>
      <c r="P4" s="203" t="s">
        <v>135</v>
      </c>
      <c r="Q4" s="131" t="s">
        <v>174</v>
      </c>
      <c r="R4" s="132" t="s">
        <v>173</v>
      </c>
    </row>
    <row r="5" spans="1:18" ht="82.5" customHeight="1">
      <c r="A5" s="191"/>
      <c r="B5" s="192"/>
      <c r="C5" s="193"/>
      <c r="D5" s="204"/>
      <c r="E5" s="210"/>
      <c r="F5" s="212"/>
      <c r="G5" s="214"/>
      <c r="H5" s="185"/>
      <c r="I5" s="216"/>
      <c r="J5" s="218"/>
      <c r="K5" s="159" t="s">
        <v>184</v>
      </c>
      <c r="L5" s="160"/>
      <c r="M5" s="208"/>
      <c r="N5" s="152"/>
      <c r="O5" s="216"/>
      <c r="P5" s="203"/>
      <c r="Q5" s="159" t="s">
        <v>199</v>
      </c>
      <c r="R5" s="16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63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5">
        <f>N55-4413.4</f>
        <v>378.8000000000011</v>
      </c>
      <c r="R55" s="156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3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4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4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65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1"/>
      <c r="H137" s="161"/>
      <c r="I137" s="161"/>
      <c r="J137" s="16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8"/>
      <c r="O138" s="178"/>
    </row>
    <row r="139" spans="3:15" ht="15.75">
      <c r="C139" s="120">
        <v>41697</v>
      </c>
      <c r="D139" s="39">
        <v>2276.8</v>
      </c>
      <c r="F139" s="4" t="s">
        <v>166</v>
      </c>
      <c r="G139" s="174" t="s">
        <v>151</v>
      </c>
      <c r="H139" s="174"/>
      <c r="I139" s="115">
        <v>13825.22</v>
      </c>
      <c r="J139" s="175" t="s">
        <v>161</v>
      </c>
      <c r="K139" s="175"/>
      <c r="L139" s="175"/>
      <c r="M139" s="175"/>
      <c r="N139" s="178"/>
      <c r="O139" s="178"/>
    </row>
    <row r="140" spans="3:15" ht="15.75">
      <c r="C140" s="120">
        <v>41696</v>
      </c>
      <c r="D140" s="39">
        <v>3746.1</v>
      </c>
      <c r="G140" s="176" t="s">
        <v>155</v>
      </c>
      <c r="H140" s="176"/>
      <c r="I140" s="112">
        <v>0</v>
      </c>
      <c r="J140" s="177" t="s">
        <v>162</v>
      </c>
      <c r="K140" s="177"/>
      <c r="L140" s="177"/>
      <c r="M140" s="177"/>
      <c r="N140" s="178"/>
      <c r="O140" s="178"/>
    </row>
    <row r="141" spans="7:13" ht="15.75" customHeight="1">
      <c r="G141" s="174" t="s">
        <v>148</v>
      </c>
      <c r="H141" s="174"/>
      <c r="I141" s="112">
        <f>'[1]залишки  (2)'!$G$8/1000</f>
        <v>0</v>
      </c>
      <c r="J141" s="175" t="s">
        <v>163</v>
      </c>
      <c r="K141" s="175"/>
      <c r="L141" s="175"/>
      <c r="M141" s="175"/>
    </row>
    <row r="142" spans="2:13" ht="18.75" customHeight="1">
      <c r="B142" s="172" t="s">
        <v>160</v>
      </c>
      <c r="C142" s="173"/>
      <c r="D142" s="117">
        <v>121970.53</v>
      </c>
      <c r="E142" s="80"/>
      <c r="F142" s="100" t="s">
        <v>147</v>
      </c>
      <c r="G142" s="174" t="s">
        <v>149</v>
      </c>
      <c r="H142" s="174"/>
      <c r="I142" s="116">
        <v>108145.31</v>
      </c>
      <c r="J142" s="175" t="s">
        <v>164</v>
      </c>
      <c r="K142" s="175"/>
      <c r="L142" s="175"/>
      <c r="M142" s="175"/>
    </row>
    <row r="143" spans="7:12" ht="9.75" customHeight="1">
      <c r="G143" s="168"/>
      <c r="H143" s="168"/>
      <c r="I143" s="98"/>
      <c r="J143" s="99"/>
      <c r="K143" s="99"/>
      <c r="L143" s="99"/>
    </row>
    <row r="144" spans="2:12" ht="22.5" customHeight="1">
      <c r="B144" s="169" t="s">
        <v>169</v>
      </c>
      <c r="C144" s="170"/>
      <c r="D144" s="119">
        <v>0</v>
      </c>
      <c r="E144" s="77" t="s">
        <v>104</v>
      </c>
      <c r="G144" s="168"/>
      <c r="H144" s="168"/>
      <c r="I144" s="98"/>
      <c r="J144" s="99"/>
      <c r="K144" s="99"/>
      <c r="L144" s="99"/>
    </row>
    <row r="145" spans="4:15" ht="15.75">
      <c r="D145" s="114"/>
      <c r="N145" s="168"/>
      <c r="O145" s="168"/>
    </row>
    <row r="146" spans="4:15" ht="15.75">
      <c r="D146" s="113"/>
      <c r="I146" s="39"/>
      <c r="N146" s="171"/>
      <c r="O146" s="171"/>
    </row>
    <row r="147" spans="14:15" ht="15.75">
      <c r="N147" s="168"/>
      <c r="O147" s="16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8" t="s">
        <v>183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204" t="s">
        <v>192</v>
      </c>
      <c r="E3" s="46"/>
      <c r="F3" s="205" t="s">
        <v>107</v>
      </c>
      <c r="G3" s="206"/>
      <c r="H3" s="206"/>
      <c r="I3" s="206"/>
      <c r="J3" s="207"/>
      <c r="K3" s="123"/>
      <c r="L3" s="123"/>
      <c r="M3" s="186" t="s">
        <v>200</v>
      </c>
      <c r="N3" s="203" t="s">
        <v>178</v>
      </c>
      <c r="O3" s="203"/>
      <c r="P3" s="203"/>
      <c r="Q3" s="203"/>
      <c r="R3" s="203"/>
    </row>
    <row r="4" spans="1:18" ht="22.5" customHeight="1">
      <c r="A4" s="190"/>
      <c r="B4" s="192"/>
      <c r="C4" s="193"/>
      <c r="D4" s="204"/>
      <c r="E4" s="209" t="s">
        <v>153</v>
      </c>
      <c r="F4" s="211" t="s">
        <v>116</v>
      </c>
      <c r="G4" s="213" t="s">
        <v>175</v>
      </c>
      <c r="H4" s="184" t="s">
        <v>176</v>
      </c>
      <c r="I4" s="215" t="s">
        <v>188</v>
      </c>
      <c r="J4" s="217" t="s">
        <v>189</v>
      </c>
      <c r="K4" s="125" t="s">
        <v>174</v>
      </c>
      <c r="L4" s="130" t="s">
        <v>173</v>
      </c>
      <c r="M4" s="219"/>
      <c r="N4" s="162" t="s">
        <v>186</v>
      </c>
      <c r="O4" s="215" t="s">
        <v>136</v>
      </c>
      <c r="P4" s="203" t="s">
        <v>135</v>
      </c>
      <c r="Q4" s="131" t="s">
        <v>174</v>
      </c>
      <c r="R4" s="132" t="s">
        <v>173</v>
      </c>
    </row>
    <row r="5" spans="1:18" ht="82.5" customHeight="1">
      <c r="A5" s="191"/>
      <c r="B5" s="192"/>
      <c r="C5" s="193"/>
      <c r="D5" s="204"/>
      <c r="E5" s="210"/>
      <c r="F5" s="212"/>
      <c r="G5" s="214"/>
      <c r="H5" s="185"/>
      <c r="I5" s="216"/>
      <c r="J5" s="218"/>
      <c r="K5" s="159" t="s">
        <v>177</v>
      </c>
      <c r="L5" s="160"/>
      <c r="M5" s="187"/>
      <c r="N5" s="152"/>
      <c r="O5" s="216"/>
      <c r="P5" s="203"/>
      <c r="Q5" s="159" t="s">
        <v>179</v>
      </c>
      <c r="R5" s="16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63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7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5">
        <f>N55-4574.2</f>
        <v>113.71000000000004</v>
      </c>
      <c r="R55" s="156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1"/>
      <c r="H137" s="161"/>
      <c r="I137" s="161"/>
      <c r="J137" s="16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8"/>
      <c r="O138" s="178"/>
    </row>
    <row r="139" spans="3:15" ht="15.75">
      <c r="C139" s="120">
        <v>41669</v>
      </c>
      <c r="D139" s="39">
        <v>4752.2</v>
      </c>
      <c r="F139" s="4" t="s">
        <v>166</v>
      </c>
      <c r="G139" s="174" t="s">
        <v>151</v>
      </c>
      <c r="H139" s="174"/>
      <c r="I139" s="115">
        <v>13825.22</v>
      </c>
      <c r="J139" s="175" t="s">
        <v>161</v>
      </c>
      <c r="K139" s="175"/>
      <c r="L139" s="175"/>
      <c r="M139" s="175"/>
      <c r="N139" s="178"/>
      <c r="O139" s="178"/>
    </row>
    <row r="140" spans="3:15" ht="15.75">
      <c r="C140" s="120">
        <v>41668</v>
      </c>
      <c r="D140" s="39">
        <v>1984.7</v>
      </c>
      <c r="G140" s="176" t="s">
        <v>155</v>
      </c>
      <c r="H140" s="176"/>
      <c r="I140" s="112">
        <v>0</v>
      </c>
      <c r="J140" s="177" t="s">
        <v>162</v>
      </c>
      <c r="K140" s="177"/>
      <c r="L140" s="177"/>
      <c r="M140" s="177"/>
      <c r="N140" s="178"/>
      <c r="O140" s="178"/>
    </row>
    <row r="141" spans="7:13" ht="15.75" customHeight="1">
      <c r="G141" s="174" t="s">
        <v>148</v>
      </c>
      <c r="H141" s="174"/>
      <c r="I141" s="112">
        <v>0</v>
      </c>
      <c r="J141" s="175" t="s">
        <v>163</v>
      </c>
      <c r="K141" s="175"/>
      <c r="L141" s="175"/>
      <c r="M141" s="175"/>
    </row>
    <row r="142" spans="2:13" ht="18.75" customHeight="1">
      <c r="B142" s="172" t="s">
        <v>160</v>
      </c>
      <c r="C142" s="173"/>
      <c r="D142" s="117">
        <v>111410.62</v>
      </c>
      <c r="E142" s="80"/>
      <c r="F142" s="100" t="s">
        <v>147</v>
      </c>
      <c r="G142" s="174" t="s">
        <v>149</v>
      </c>
      <c r="H142" s="174"/>
      <c r="I142" s="116">
        <v>97585.4</v>
      </c>
      <c r="J142" s="175" t="s">
        <v>164</v>
      </c>
      <c r="K142" s="175"/>
      <c r="L142" s="175"/>
      <c r="M142" s="175"/>
    </row>
    <row r="143" spans="7:12" ht="9.75" customHeight="1">
      <c r="G143" s="168"/>
      <c r="H143" s="168"/>
      <c r="I143" s="98"/>
      <c r="J143" s="99"/>
      <c r="K143" s="99"/>
      <c r="L143" s="99"/>
    </row>
    <row r="144" spans="2:12" ht="22.5" customHeight="1">
      <c r="B144" s="169" t="s">
        <v>169</v>
      </c>
      <c r="C144" s="170"/>
      <c r="D144" s="119">
        <v>0</v>
      </c>
      <c r="E144" s="77" t="s">
        <v>104</v>
      </c>
      <c r="G144" s="168"/>
      <c r="H144" s="168"/>
      <c r="I144" s="98"/>
      <c r="J144" s="99"/>
      <c r="K144" s="99"/>
      <c r="L144" s="99"/>
    </row>
    <row r="145" spans="4:15" ht="15.75">
      <c r="D145" s="114"/>
      <c r="N145" s="168"/>
      <c r="O145" s="168"/>
    </row>
    <row r="146" spans="4:15" ht="15.75">
      <c r="D146" s="113"/>
      <c r="I146" s="39"/>
      <c r="N146" s="171"/>
      <c r="O146" s="171"/>
    </row>
    <row r="147" spans="14:15" ht="15.75">
      <c r="N147" s="168"/>
      <c r="O147" s="16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2014-04-15T06:52:59Z</cp:lastPrinted>
  <dcterms:created xsi:type="dcterms:W3CDTF">2003-07-28T11:27:56Z</dcterms:created>
  <dcterms:modified xsi:type="dcterms:W3CDTF">2014-04-15T07:06:48Z</dcterms:modified>
  <cp:category/>
  <cp:version/>
  <cp:contentType/>
  <cp:contentStatus/>
</cp:coreProperties>
</file>